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lotage" sheetId="1" r:id="rId4"/>
    <sheet state="visible" name="Parametres" sheetId="2" r:id="rId5"/>
    <sheet state="visible" name="Particulier_IR" sheetId="3" r:id="rId6"/>
    <sheet state="visible" name="IFI" sheetId="4" r:id="rId7"/>
    <sheet state="visible" name="Arbitrage_IR_IFI" sheetId="5" r:id="rId8"/>
    <sheet state="visible" name="Entreprise_IS" sheetId="6" r:id="rId9"/>
    <sheet state="visible" name="Multi_Annees" sheetId="7" r:id="rId10"/>
    <sheet state="visible" name="Notes" sheetId="8" r:id="rId11"/>
  </sheets>
  <definedNames/>
  <calcPr/>
  <extLst>
    <ext uri="GoogleSheetsCustomDataVersion2">
      <go:sheetsCustomData xmlns:go="http://customooxmlschemas.google.com/" r:id="rId12" roundtripDataChecksum="KpVIP26nUNVKkWl3vgMt0P6RpFJtAsjW0s4BQ1dcKr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0">
      <text>
        <t xml:space="preserve">======
ID#AAAB3yCkbm0
Benoît LESCURE    (2026-04-20 15:57:42)
Je renseigne un pourcentage de don IR que j'imagine faire / ensemble de mes dons.</t>
      </text>
    </comment>
  </commentList>
  <extLst>
    <ext uri="GoogleSheetsCustomDataVersion2">
      <go:sheetsCustomData xmlns:go="http://customooxmlschemas.google.com/" r:id="rId1" roundtripDataSignature="AMtx7mjr72wxZUjbBASczSWsyq5P4GPHj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8">
      <text>
        <t xml:space="preserve">======
ID#AAAB3WQZi2A
OpenAI    (2026-04-16 14:29:23)
Source : https://www.economie.gouv.fr/entreprises/gerer-sa-fiscalite-et-ses-impots/limpot-sur-les-benefices-ir-et/mecenat-donnez-des</t>
      </text>
    </comment>
    <comment authorId="0" ref="B9">
      <text>
        <t xml:space="preserve">======
ID#AAAB3WQZi2E
OpenAI    (2026-04-16 14:29:23)
Source : https://www.economie.gouv.fr/entreprises/gerer-sa-fiscalite-et-ses-impots/limpot-sur-les-benefices-ir-et/mecenat-donnez-des</t>
      </text>
    </comment>
    <comment authorId="0" ref="B5">
      <text>
        <t xml:space="preserve">======
ID#AAAB3WQZi14
OpenAI    (2026-04-16 14:29:23)
Source : https://www.service-public.gouv.fr/particuliers/vosdroits/F1132</t>
      </text>
    </comment>
    <comment authorId="0" ref="B4">
      <text>
        <t xml:space="preserve">======
ID#AAAB3WQZi18
OpenAI    (2026-04-16 14:29:23)
Source : https://www.service-public.gouv.fr/particuliers/vosdroits/F1132</t>
      </text>
    </comment>
    <comment authorId="0" ref="B10">
      <text>
        <t xml:space="preserve">======
ID#AAAB3WQZi10
OpenAI    (2026-04-16 14:29:23)
Source : https://www.economie.gouv.fr/entreprises/gerer-sa-fiscalite-et-ses-impots/limpot-sur-les-benefices-ir-et/mecenat-donnez-des</t>
      </text>
    </comment>
    <comment authorId="0" ref="B12">
      <text>
        <t xml:space="preserve">======
ID#AAAB3WQZi1s
OpenAI    (2026-04-16 14:29:23)
Source : Hypothèse de calendrier pour ce modèle.</t>
      </text>
    </comment>
    <comment authorId="0" ref="B6">
      <text>
        <t xml:space="preserve">======
ID#AAAB3WQZi1w
OpenAI    (2026-04-16 14:29:23)
Source : https://www.impots.gouv.fr/particulier/calcul-de-lifi</t>
      </text>
    </comment>
    <comment authorId="0" ref="B15">
      <text>
        <t xml:space="preserve">======
ID#AAAB3WQZi1o
OpenAI    (2026-04-16 14:29:23)
Source : https://www.impots.gouv.fr/particulier/calcul-de-lifi</t>
      </text>
    </comment>
    <comment authorId="0" ref="B11">
      <text>
        <t xml:space="preserve">======
ID#AAAB3WQZi1g
OpenAI    (2026-04-16 14:29:23)
Source : https://www.economie.gouv.fr/entreprises/gerer-sa-fiscalite-et-ses-impots/limpot-sur-les-benefices-ir-et/mecenat-donnez-des</t>
      </text>
    </comment>
    <comment authorId="0" ref="B7">
      <text>
        <t xml:space="preserve">======
ID#AAAB3WQZi1k
OpenAI    (2026-04-16 14:29:23)
Source : https://www.impots.gouv.fr/particulier/calcul-de-lifi</t>
      </text>
    </comment>
  </commentList>
  <extLst>
    <ext uri="GoogleSheetsCustomDataVersion2">
      <go:sheetsCustomData xmlns:go="http://customooxmlschemas.google.com/" r:id="rId1" roundtripDataSignature="AMtx7mgC/+vA7arFuGZvEsScRUcNw4KseQ=="/>
    </ext>
  </extLst>
</comments>
</file>

<file path=xl/sharedStrings.xml><?xml version="1.0" encoding="utf-8"?>
<sst xmlns="http://schemas.openxmlformats.org/spreadsheetml/2006/main" count="191" uniqueCount="152">
  <si>
    <t>Tableau de pilotage premium des dons (IR / IFI / Entreprise)</t>
  </si>
  <si>
    <t>Vos données</t>
  </si>
  <si>
    <t>Revenu imposable particulier (€)</t>
  </si>
  <si>
    <t>IFI avant réduction (€)</t>
  </si>
  <si>
    <t>CA HT entreprise (€)</t>
  </si>
  <si>
    <t>Budget particulier à arbitrer IR / IFI (€)</t>
  </si>
  <si>
    <t>Choix Dons</t>
  </si>
  <si>
    <t>Synthèse manuelle</t>
  </si>
  <si>
    <t>Don IR (€)</t>
  </si>
  <si>
    <t>Réduction IR</t>
  </si>
  <si>
    <t>Don IFI (€)</t>
  </si>
  <si>
    <t>Réduction IFI</t>
  </si>
  <si>
    <t>Don entreprise manuel (€)</t>
  </si>
  <si>
    <t>Réduction IS</t>
  </si>
  <si>
    <t>Réduction totale</t>
  </si>
  <si>
    <t>Dons totaux</t>
  </si>
  <si>
    <t>Coût net total</t>
  </si>
  <si>
    <t>Allocation optimale particulier (budget B4)</t>
  </si>
  <si>
    <t>Allocation optimale entreprise</t>
  </si>
  <si>
    <t>Don conseillé vers IFI</t>
  </si>
  <si>
    <t>Don optimal sans report</t>
  </si>
  <si>
    <t>Don conseillé vers IR</t>
  </si>
  <si>
    <t>Marge avant report</t>
  </si>
  <si>
    <t>Budget non optimisé immédiatement</t>
  </si>
  <si>
    <t>Excédent reportable (manuel)</t>
  </si>
  <si>
    <t>Réduction totale conseillée</t>
  </si>
  <si>
    <t>Réduction sur don manuel</t>
  </si>
  <si>
    <t>Coût net du budget</t>
  </si>
  <si>
    <t>Seuil 40 % atteint ?</t>
  </si>
  <si>
    <t>Alertes &amp; contrôles</t>
  </si>
  <si>
    <t>Particulier IR</t>
  </si>
  <si>
    <t>IFI</t>
  </si>
  <si>
    <t>Entreprise</t>
  </si>
  <si>
    <t>Arbitrage IR/IFI</t>
  </si>
  <si>
    <t>Obligation déclarative entreprise</t>
  </si>
  <si>
    <t>Note importante</t>
  </si>
  <si>
    <t>Un même euro de don ne peut pas être utilisé à la fois pour l'IR et pour l'IFI. Le modèle propose une ventilation optimisée.</t>
  </si>
  <si>
    <t>Paramètres fiscaux et hypothèses</t>
  </si>
  <si>
    <t>Paramètre</t>
  </si>
  <si>
    <t>Valeur</t>
  </si>
  <si>
    <t>Format</t>
  </si>
  <si>
    <t>Commentaire</t>
  </si>
  <si>
    <t>Taux IR dons d'intérêt général</t>
  </si>
  <si>
    <t>0.0%</t>
  </si>
  <si>
    <t>Particulier : réduction standard</t>
  </si>
  <si>
    <t>Plafond IR (% revenu imposable)</t>
  </si>
  <si>
    <t>Particulier : plafond annuel</t>
  </si>
  <si>
    <t>Taux IFI</t>
  </si>
  <si>
    <t>IFI : réduction sur versements éligibles</t>
  </si>
  <si>
    <t>Plafond réduction IFI</t>
  </si>
  <si>
    <t>#,##0 "€";[Red](#,##0 "€");-</t>
  </si>
  <si>
    <t>IFI : plafond annuel de réduction</t>
  </si>
  <si>
    <t>Taux IS/IR entreprise &lt;= 2 M€</t>
  </si>
  <si>
    <t>Mécénat d'entreprise</t>
  </si>
  <si>
    <t>Taux IS/IR entreprise &gt; 2 M€</t>
  </si>
  <si>
    <t>Fraction &gt; 2 M€</t>
  </si>
  <si>
    <t>Seuil tranche don entreprise</t>
  </si>
  <si>
    <t>Seuil de bascule 40%</t>
  </si>
  <si>
    <t>Plafond fixe entreprise</t>
  </si>
  <si>
    <t>Plafond alternatif</t>
  </si>
  <si>
    <t>Plafond entreprise (% CA HT)</t>
  </si>
  <si>
    <t>5 ‰ du CA HT</t>
  </si>
  <si>
    <t>Année de départ du plan</t>
  </si>
  <si>
    <t>0</t>
  </si>
  <si>
    <t>Pour la projection des reports</t>
  </si>
  <si>
    <t>Règle IR/IFI</t>
  </si>
  <si>
    <t>Non-cumul</t>
  </si>
  <si>
    <t>Un même montant ne peut pas être utilisé deux fois ; ventilation possible.</t>
  </si>
  <si>
    <t>Particulier - réduction d'impôt sur le revenu (IR)</t>
  </si>
  <si>
    <t>Entrées liées au pilotage</t>
  </si>
  <si>
    <t>Sensibilité rapide</t>
  </si>
  <si>
    <t>Revenu imposable (€)</t>
  </si>
  <si>
    <t>Niveau de don</t>
  </si>
  <si>
    <t>Réduction</t>
  </si>
  <si>
    <t>Coût net</t>
  </si>
  <si>
    <t>Don IR manuel (€)</t>
  </si>
  <si>
    <t>Résultats</t>
  </si>
  <si>
    <t>Plafond IR immédiat (20 % du revenu)</t>
  </si>
  <si>
    <t>Part du don ouvrant droit immédiat</t>
  </si>
  <si>
    <t>Excédent reportable sur 5 ans</t>
  </si>
  <si>
    <t>Base = plafond IR immédiat</t>
  </si>
  <si>
    <t>Coût réel du don</t>
  </si>
  <si>
    <t>Taux effectif sur le don</t>
  </si>
  <si>
    <t>Alerte</t>
  </si>
  <si>
    <t>IFI - réduction liée aux dons</t>
  </si>
  <si>
    <t>Repère</t>
  </si>
  <si>
    <t>Maximum de don utile pour atteindre le plafond IFI</t>
  </si>
  <si>
    <t>Don IFI manuel (€)</t>
  </si>
  <si>
    <t>Rappel</t>
  </si>
  <si>
    <t>Même don non cumulable IR + IFI</t>
  </si>
  <si>
    <t>Réduction théorique (75 %)</t>
  </si>
  <si>
    <t>Plafond légal de réduction</t>
  </si>
  <si>
    <t>Réduction retenue</t>
  </si>
  <si>
    <t>IFI après réduction</t>
  </si>
  <si>
    <t>Don optimal pour annuler l'IFI</t>
  </si>
  <si>
    <t>Don au-delà du besoin immédiat</t>
  </si>
  <si>
    <t>Arbitrage particulier entre IR et IFI</t>
  </si>
  <si>
    <t>Comparatif de stratégies</t>
  </si>
  <si>
    <t>Budget total particulier (€)</t>
  </si>
  <si>
    <t>Stratégie</t>
  </si>
  <si>
    <t>Tout en IR</t>
  </si>
  <si>
    <t>Tout en IFI</t>
  </si>
  <si>
    <t>Allocation optimisée</t>
  </si>
  <si>
    <t>Allocation conseillée</t>
  </si>
  <si>
    <t>Max utile vers IFI</t>
  </si>
  <si>
    <t>Max utile vers IR</t>
  </si>
  <si>
    <t>Allocation conseillée vers IFI</t>
  </si>
  <si>
    <t>Budget restant</t>
  </si>
  <si>
    <t>Allocation conseillée vers IR</t>
  </si>
  <si>
    <t>Budget restant non optimisé</t>
  </si>
  <si>
    <t>Réduction IFI sur allocation</t>
  </si>
  <si>
    <t>Réduction IR sur allocation</t>
  </si>
  <si>
    <t>Entreprise - mécénat et réduction d'impôt</t>
  </si>
  <si>
    <t>Repères</t>
  </si>
  <si>
    <t>Chiffre d'affaires HT (€)</t>
  </si>
  <si>
    <t>Seuil de bascule 40 %</t>
  </si>
  <si>
    <t>Le plafond annuel = max(20 k€, 5 ‰ du CA HT)</t>
  </si>
  <si>
    <t>Plafond 5 ‰ du CA</t>
  </si>
  <si>
    <t>Plafond fixe</t>
  </si>
  <si>
    <t>Plafond retenu</t>
  </si>
  <si>
    <t>Part prise en compte cette année</t>
  </si>
  <si>
    <t>Excédent reportable (5 exercices)</t>
  </si>
  <si>
    <t>Part &lt;= 2 M€</t>
  </si>
  <si>
    <t>Part &gt; 2 M€</t>
  </si>
  <si>
    <t>Réduction d'impôt</t>
  </si>
  <si>
    <t>Alerte report</t>
  </si>
  <si>
    <t>Alerte déclaration</t>
  </si>
  <si>
    <t>Projection pluriannuelle des reports</t>
  </si>
  <si>
    <t>Objectif : voir si les excédents de dons actuels peuvent être absorbés sur les 5 exercices suivants.</t>
  </si>
  <si>
    <t>Report IR du don manuel</t>
  </si>
  <si>
    <t>Exercice</t>
  </si>
  <si>
    <t>Revenu imposable projeté</t>
  </si>
  <si>
    <t>Plafond IR</t>
  </si>
  <si>
    <t>Report d'ouverture</t>
  </si>
  <si>
    <t>Utilisé</t>
  </si>
  <si>
    <t>Report de clôture</t>
  </si>
  <si>
    <t>Note</t>
  </si>
  <si>
    <t>Solde expirant fin 2031</t>
  </si>
  <si>
    <t>Report entreprise du don manuel</t>
  </si>
  <si>
    <t>CA HT projeté</t>
  </si>
  <si>
    <t>Plafond annuel</t>
  </si>
  <si>
    <t>Mode d'emploi et précautions</t>
  </si>
  <si>
    <t>1) Saisissez les hypothèses uniquement dans l'onglet Pilotage (cellules jaunes) et dans les colonnes de projection de Multi_Annees.</t>
  </si>
  <si>
    <t>2) Les feuilles Particulier_IR, IFI et Entreprise_IS détaillent chaque calcul.</t>
  </si>
  <si>
    <t>3) L'onglet Arbitrage_IR_IFI alloue automatiquement le budget particulier vers l'IFI en priorité, puis vers l'IR.</t>
  </si>
  <si>
    <t>4) Un même euro de don ne peut pas être utilisé à la fois pour l'IR et l'IFI ; seule une ventilation entre dispositifs est possible.</t>
  </si>
  <si>
    <t>5) Les projections pluriannuelles visualisent l'absorption des excédents actuels sur les 5 exercices suivants.</t>
  </si>
  <si>
    <t>6) Modèle indicatif : vérifiez l'éligibilité de l'organisme et le traitement de votre situation avec votre conseil fiscal si besoin.</t>
  </si>
  <si>
    <t>Sources officielles (URL)</t>
  </si>
  <si>
    <t>https://www.service-public.gouv.fr/particuliers/vosdroits/F1132</t>
  </si>
  <si>
    <t>https://www.impots.gouv.fr/particulier/calcul-de-lifi</t>
  </si>
  <si>
    <t>https://www.economie.gouv.fr/entreprises/gerer-sa-fiscalite-et-ses-impots/limpot-sur-les-benefices-ir-et/mecenat-donnez-des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</si>
</sst>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€&quot;;[Red]\(#,##0\ &quot;€&quot;\);\-"/>
    <numFmt numFmtId="165" formatCode="0.0%"/>
  </numFmts>
  <fonts count="19">
    <font>
      <sz val="11.0"/>
      <color theme="1"/>
      <name val="Calibri"/>
      <scheme val="minor"/>
    </font>
    <font>
      <b/>
      <sz val="14.0"/>
      <color rgb="FFFFFFFF"/>
      <name val="Calibri"/>
    </font>
    <font/>
    <font>
      <b/>
      <sz val="12.0"/>
      <color rgb="FFFFFFFF"/>
      <name val="Calibri"/>
    </font>
    <font>
      <sz val="12.0"/>
      <color rgb="FF000000"/>
      <name val="Calibri"/>
    </font>
    <font>
      <b/>
      <sz val="12.0"/>
      <color rgb="FF0000FF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9C0006"/>
      <name val="Calibri"/>
    </font>
    <font>
      <b/>
      <sz val="12.0"/>
      <color theme="1"/>
      <name val="Calibri"/>
    </font>
    <font>
      <i/>
      <sz val="12.0"/>
      <color theme="1"/>
      <name val="Calibri"/>
    </font>
    <font>
      <b/>
      <sz val="11.0"/>
      <color rgb="FFFFFFFF"/>
      <name val="Calibri"/>
    </font>
    <font>
      <sz val="11.0"/>
      <color rgb="FF000000"/>
      <name val="Calibri"/>
    </font>
    <font>
      <sz val="11.0"/>
      <color rgb="FF666666"/>
      <name val="Calibri"/>
    </font>
    <font>
      <sz val="11.0"/>
      <color theme="1"/>
      <name val="Calibri"/>
    </font>
    <font>
      <sz val="11.0"/>
      <color rgb="FF008000"/>
      <name val="Calibri"/>
    </font>
    <font>
      <i/>
      <sz val="11.0"/>
      <color theme="1"/>
      <name val="Calibri"/>
    </font>
    <font>
      <b/>
      <sz val="11.0"/>
      <color rgb="FF9C0006"/>
      <name val="Calibri"/>
    </font>
    <font>
      <b/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2F0D9"/>
        <bgColor rgb="FFE2F0D9"/>
      </patternFill>
    </fill>
    <fill>
      <patternFill patternType="solid">
        <fgColor rgb="FFFCE4D6"/>
        <bgColor rgb="FFFCE4D6"/>
      </patternFill>
    </fill>
    <fill>
      <patternFill patternType="solid">
        <fgColor rgb="FFE7E6E6"/>
        <bgColor rgb="FFE7E6E6"/>
      </patternFill>
    </fill>
  </fills>
  <borders count="6">
    <border/>
    <border>
      <left/>
      <top/>
      <bottom style="thin">
        <color rgb="FFBFBFBF"/>
      </bottom>
    </border>
    <border>
      <top/>
      <bottom style="thin">
        <color rgb="FFBFBFBF"/>
      </bottom>
    </border>
    <border>
      <right/>
      <top/>
      <bottom style="thin">
        <color rgb="FFBFBFBF"/>
      </bottom>
    </border>
    <border>
      <left/>
      <right/>
      <top/>
      <bottom style="thin">
        <color rgb="FFBFBFBF"/>
      </bottom>
    </border>
    <border>
      <bottom style="thin">
        <color rgb="FFBFBFBF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readingOrder="0" vertical="center"/>
    </xf>
    <xf borderId="4" fillId="4" fontId="4" numFmtId="0" xfId="0" applyAlignment="1" applyBorder="1" applyFill="1" applyFont="1">
      <alignment horizontal="left"/>
    </xf>
    <xf borderId="4" fillId="5" fontId="5" numFmtId="164" xfId="0" applyAlignment="1" applyBorder="1" applyFill="1" applyFont="1" applyNumberFormat="1">
      <alignment horizontal="right" readingOrder="0"/>
    </xf>
    <xf borderId="4" fillId="5" fontId="5" numFmtId="164" xfId="0" applyAlignment="1" applyBorder="1" applyFont="1" applyNumberFormat="1">
      <alignment horizontal="right"/>
    </xf>
    <xf borderId="0" fillId="0" fontId="6" numFmtId="0" xfId="0" applyFont="1"/>
    <xf borderId="1" fillId="3" fontId="3" numFmtId="0" xfId="0" applyAlignment="1" applyBorder="1" applyFont="1">
      <alignment horizontal="left" vertical="center"/>
    </xf>
    <xf borderId="4" fillId="4" fontId="4" numFmtId="0" xfId="0" applyAlignment="1" applyBorder="1" applyFont="1">
      <alignment horizontal="left" readingOrder="0"/>
    </xf>
    <xf borderId="4" fillId="6" fontId="7" numFmtId="164" xfId="0" applyAlignment="1" applyBorder="1" applyFill="1" applyFont="1" applyNumberFormat="1">
      <alignment horizontal="right"/>
    </xf>
    <xf borderId="0" fillId="5" fontId="6" numFmtId="9" xfId="0" applyAlignment="1" applyFont="1" applyNumberFormat="1">
      <alignment readingOrder="0"/>
    </xf>
    <xf borderId="0" fillId="0" fontId="6" numFmtId="9" xfId="0" applyFont="1" applyNumberFormat="1"/>
    <xf borderId="0" fillId="0" fontId="6" numFmtId="0" xfId="0" applyAlignment="1" applyFont="1">
      <alignment readingOrder="0"/>
    </xf>
    <xf borderId="4" fillId="6" fontId="7" numFmtId="0" xfId="0" applyAlignment="1" applyBorder="1" applyFont="1">
      <alignment horizontal="right"/>
    </xf>
    <xf borderId="4" fillId="7" fontId="8" numFmtId="0" xfId="0" applyAlignment="1" applyBorder="1" applyFill="1" applyFont="1">
      <alignment horizontal="left"/>
    </xf>
    <xf borderId="5" fillId="0" fontId="9" numFmtId="0" xfId="0" applyBorder="1" applyFont="1"/>
    <xf borderId="5" fillId="0" fontId="10" numFmtId="0" xfId="0" applyAlignment="1" applyBorder="1" applyFont="1">
      <alignment shrinkToFit="0" wrapText="1"/>
    </xf>
    <xf borderId="4" fillId="3" fontId="11" numFmtId="0" xfId="0" applyBorder="1" applyFont="1"/>
    <xf borderId="4" fillId="4" fontId="12" numFmtId="0" xfId="0" applyAlignment="1" applyBorder="1" applyFont="1">
      <alignment horizontal="left"/>
    </xf>
    <xf borderId="4" fillId="8" fontId="13" numFmtId="165" xfId="0" applyBorder="1" applyFill="1" applyFont="1" applyNumberFormat="1"/>
    <xf borderId="5" fillId="0" fontId="13" numFmtId="0" xfId="0" applyBorder="1" applyFont="1"/>
    <xf borderId="4" fillId="8" fontId="13" numFmtId="164" xfId="0" applyBorder="1" applyFont="1" applyNumberFormat="1"/>
    <xf borderId="4" fillId="8" fontId="13" numFmtId="1" xfId="0" applyBorder="1" applyFont="1" applyNumberFormat="1"/>
    <xf borderId="5" fillId="0" fontId="14" numFmtId="0" xfId="0" applyBorder="1" applyFont="1"/>
    <xf borderId="1" fillId="3" fontId="11" numFmtId="0" xfId="0" applyAlignment="1" applyBorder="1" applyFont="1">
      <alignment horizontal="left" vertical="center"/>
    </xf>
    <xf borderId="5" fillId="0" fontId="15" numFmtId="164" xfId="0" applyAlignment="1" applyBorder="1" applyFont="1" applyNumberFormat="1">
      <alignment horizontal="right"/>
    </xf>
    <xf borderId="5" fillId="0" fontId="12" numFmtId="165" xfId="0" applyAlignment="1" applyBorder="1" applyFont="1" applyNumberFormat="1">
      <alignment horizontal="right"/>
    </xf>
    <xf borderId="5" fillId="0" fontId="12" numFmtId="164" xfId="0" applyAlignment="1" applyBorder="1" applyFont="1" applyNumberFormat="1">
      <alignment horizontal="right"/>
    </xf>
    <xf borderId="5" fillId="0" fontId="16" numFmtId="0" xfId="0" applyBorder="1" applyFont="1"/>
    <xf borderId="4" fillId="7" fontId="17" numFmtId="0" xfId="0" applyAlignment="1" applyBorder="1" applyFont="1">
      <alignment horizontal="left"/>
    </xf>
    <xf borderId="4" fillId="6" fontId="18" numFmtId="164" xfId="0" applyAlignment="1" applyBorder="1" applyFont="1" applyNumberFormat="1">
      <alignment horizontal="right"/>
    </xf>
    <xf borderId="5" fillId="0" fontId="14" numFmtId="0" xfId="0" applyAlignment="1" applyBorder="1" applyFont="1">
      <alignment shrinkToFit="0" wrapText="1"/>
    </xf>
    <xf borderId="4" fillId="3" fontId="3" numFmtId="0" xfId="0" applyBorder="1" applyFont="1"/>
    <xf borderId="5" fillId="0" fontId="4" numFmtId="164" xfId="0" applyAlignment="1" applyBorder="1" applyFont="1" applyNumberFormat="1">
      <alignment horizontal="right"/>
    </xf>
    <xf borderId="5" fillId="0" fontId="6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Particulier : réduction par stratégie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v>Réduction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E0666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Arbitrage_IR_IFI!$D$5:$D$7</c:f>
            </c:strRef>
          </c:cat>
          <c:val>
            <c:numRef>
              <c:f>Arbitrage_IR_IFI!$E$5:$E$7</c:f>
              <c:numCache/>
            </c:numRef>
          </c:val>
        </c:ser>
        <c:axId val="268961770"/>
        <c:axId val="1792511632"/>
      </c:barChart>
      <c:catAx>
        <c:axId val="26896177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Montant (€)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2511632"/>
      </c:catAx>
      <c:valAx>
        <c:axId val="179251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Stratégie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896177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3F3F3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1095375</xdr:colOff>
      <xdr:row>27</xdr:row>
      <xdr:rowOff>171450</xdr:rowOff>
    </xdr:from>
    <xdr:ext cx="5895975" cy="2162175"/>
    <xdr:graphicFrame>
      <xdr:nvGraphicFramePr>
        <xdr:cNvPr id="1472730025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42.0"/>
    <col customWidth="1" min="2" max="2" width="18.0"/>
    <col customWidth="1" min="3" max="3" width="6.14"/>
    <col customWidth="1" min="4" max="4" width="4.0"/>
    <col customWidth="1" min="5" max="5" width="28.0"/>
    <col customWidth="1" min="6" max="6" width="18.0"/>
    <col customWidth="1" min="7" max="7" width="20.0"/>
    <col customWidth="1" min="8" max="8" width="6.0"/>
    <col customWidth="1" min="9" max="26" width="8.86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3">
      <c r="A3" s="4" t="s">
        <v>1</v>
      </c>
      <c r="B3" s="2"/>
      <c r="C3" s="3"/>
    </row>
    <row r="4">
      <c r="A4" s="5" t="s">
        <v>2</v>
      </c>
      <c r="B4" s="6">
        <v>45000.0</v>
      </c>
    </row>
    <row r="5">
      <c r="A5" s="5" t="s">
        <v>3</v>
      </c>
      <c r="B5" s="6">
        <v>35000.0</v>
      </c>
    </row>
    <row r="6">
      <c r="A6" s="5" t="s">
        <v>4</v>
      </c>
      <c r="B6" s="7"/>
    </row>
    <row r="7">
      <c r="A7" s="5" t="s">
        <v>5</v>
      </c>
      <c r="B7" s="6">
        <v>9000.0</v>
      </c>
    </row>
    <row r="8" ht="14.25" customHeight="1"/>
    <row r="9">
      <c r="A9" s="4" t="s">
        <v>6</v>
      </c>
      <c r="B9" s="2"/>
      <c r="C9" s="3"/>
      <c r="D9" s="8"/>
      <c r="E9" s="9" t="s">
        <v>7</v>
      </c>
      <c r="F9" s="2"/>
      <c r="G9" s="3"/>
    </row>
    <row r="10">
      <c r="A10" s="10" t="s">
        <v>8</v>
      </c>
      <c r="B10" s="11">
        <f t="shared" ref="B10:B11" si="1">B$7*C10</f>
        <v>1350</v>
      </c>
      <c r="C10" s="12">
        <v>0.15</v>
      </c>
      <c r="D10" s="8"/>
      <c r="E10" s="5" t="s">
        <v>9</v>
      </c>
      <c r="F10" s="11">
        <f>Particulier_IR!B11</f>
        <v>891</v>
      </c>
      <c r="G10" s="8"/>
    </row>
    <row r="11">
      <c r="A11" s="10" t="s">
        <v>10</v>
      </c>
      <c r="B11" s="11">
        <f t="shared" si="1"/>
        <v>7650</v>
      </c>
      <c r="C11" s="13">
        <f>(1-C10)</f>
        <v>0.85</v>
      </c>
      <c r="D11" s="8"/>
      <c r="E11" s="5" t="s">
        <v>11</v>
      </c>
      <c r="F11" s="11">
        <f>IFI!B10</f>
        <v>5737.5</v>
      </c>
      <c r="G11" s="8"/>
    </row>
    <row r="12">
      <c r="A12" s="5" t="s">
        <v>12</v>
      </c>
      <c r="B12" s="7"/>
      <c r="C12" s="8"/>
      <c r="D12" s="8"/>
      <c r="E12" s="5" t="s">
        <v>13</v>
      </c>
      <c r="F12" s="11" t="str">
        <f>IF(B6&gt;0,Entreprise_IS!B15,"")</f>
        <v/>
      </c>
      <c r="G12" s="14"/>
    </row>
    <row r="13">
      <c r="C13" s="8"/>
      <c r="D13" s="8"/>
      <c r="E13" s="5" t="s">
        <v>14</v>
      </c>
      <c r="F13" s="11">
        <f>SUM(F10:F12)</f>
        <v>6628.5</v>
      </c>
      <c r="G13" s="8"/>
    </row>
    <row r="14">
      <c r="C14" s="8"/>
      <c r="D14" s="8"/>
      <c r="E14" s="5" t="s">
        <v>15</v>
      </c>
      <c r="F14" s="11">
        <f>B10+B11+B12</f>
        <v>9000</v>
      </c>
      <c r="G14" s="8"/>
    </row>
    <row r="15">
      <c r="C15" s="8"/>
      <c r="D15" s="8"/>
      <c r="E15" s="5" t="s">
        <v>16</v>
      </c>
      <c r="F15" s="11">
        <f>F14-F13</f>
        <v>2371.5</v>
      </c>
      <c r="G15" s="8"/>
    </row>
    <row r="16">
      <c r="C16" s="8"/>
      <c r="D16" s="8"/>
      <c r="E16" s="8"/>
      <c r="F16" s="8"/>
      <c r="G16" s="8"/>
    </row>
    <row r="17">
      <c r="A17" s="8"/>
      <c r="B17" s="8"/>
      <c r="C17" s="8"/>
      <c r="D17" s="8"/>
      <c r="E17" s="8"/>
      <c r="F17" s="8"/>
      <c r="G17" s="8"/>
    </row>
    <row r="18">
      <c r="A18" s="8"/>
      <c r="B18" s="8"/>
      <c r="C18" s="8"/>
      <c r="D18" s="8"/>
      <c r="E18" s="8"/>
      <c r="F18" s="8"/>
      <c r="G18" s="8"/>
    </row>
    <row r="19">
      <c r="A19" s="4" t="s">
        <v>17</v>
      </c>
      <c r="B19" s="2"/>
      <c r="C19" s="3"/>
      <c r="D19" s="8"/>
      <c r="E19" s="4" t="s">
        <v>18</v>
      </c>
      <c r="F19" s="2"/>
      <c r="G19" s="3"/>
    </row>
    <row r="20">
      <c r="A20" s="5" t="s">
        <v>19</v>
      </c>
      <c r="B20" s="11">
        <f>Arbitrage_IR_IFI!B11</f>
        <v>9000</v>
      </c>
      <c r="C20" s="8"/>
      <c r="D20" s="8"/>
      <c r="E20" s="5" t="s">
        <v>20</v>
      </c>
      <c r="F20" s="11">
        <f>Entreprise_IS!B18</f>
        <v>20000</v>
      </c>
      <c r="G20" s="8"/>
    </row>
    <row r="21">
      <c r="A21" s="5" t="s">
        <v>21</v>
      </c>
      <c r="B21" s="11">
        <f>Arbitrage_IR_IFI!B13</f>
        <v>0</v>
      </c>
      <c r="C21" s="8"/>
      <c r="D21" s="8"/>
      <c r="E21" s="5" t="s">
        <v>22</v>
      </c>
      <c r="F21" s="11">
        <f>Entreprise_IS!B19</f>
        <v>20000</v>
      </c>
      <c r="G21" s="8"/>
    </row>
    <row r="22">
      <c r="A22" s="5" t="s">
        <v>23</v>
      </c>
      <c r="B22" s="11">
        <f>Arbitrage_IR_IFI!B14</f>
        <v>0</v>
      </c>
      <c r="C22" s="8"/>
      <c r="D22" s="8"/>
      <c r="E22" s="5" t="s">
        <v>24</v>
      </c>
      <c r="F22" s="11">
        <f>Entreprise_IS!B12</f>
        <v>0</v>
      </c>
      <c r="G22" s="8"/>
    </row>
    <row r="23">
      <c r="A23" s="5" t="s">
        <v>25</v>
      </c>
      <c r="B23" s="11">
        <f>Arbitrage_IR_IFI!B17</f>
        <v>6750</v>
      </c>
      <c r="C23" s="8"/>
      <c r="D23" s="8"/>
      <c r="E23" s="5" t="s">
        <v>26</v>
      </c>
      <c r="F23" s="11" t="str">
        <f>IF(Entreprise_IS!B14&gt;0,"Oui","Non")</f>
        <v>Non</v>
      </c>
      <c r="G23" s="8"/>
    </row>
    <row r="24">
      <c r="A24" s="5" t="s">
        <v>27</v>
      </c>
      <c r="B24" s="11">
        <f>Arbitrage_IR_IFI!B18</f>
        <v>2250</v>
      </c>
      <c r="C24" s="8"/>
      <c r="D24" s="8"/>
      <c r="E24" s="5" t="s">
        <v>28</v>
      </c>
      <c r="F24" s="15" t="str">
        <f>IF(B6&gt;0,Entreprise_IS!B15,"")</f>
        <v/>
      </c>
      <c r="G24" s="8"/>
    </row>
    <row r="25">
      <c r="A25" s="8"/>
      <c r="B25" s="8"/>
      <c r="C25" s="8"/>
      <c r="D25" s="8"/>
      <c r="E25" s="8"/>
      <c r="F25" s="8"/>
      <c r="G25" s="8"/>
    </row>
    <row r="26">
      <c r="A26" s="8"/>
      <c r="B26" s="8"/>
      <c r="C26" s="8"/>
      <c r="D26" s="8"/>
      <c r="E26" s="8"/>
      <c r="F26" s="8"/>
      <c r="G26" s="8"/>
    </row>
    <row r="27" ht="15.75" customHeight="1">
      <c r="A27" s="9" t="s">
        <v>29</v>
      </c>
      <c r="B27" s="2"/>
      <c r="C27" s="2"/>
      <c r="D27" s="2"/>
      <c r="E27" s="2"/>
      <c r="F27" s="2"/>
      <c r="G27" s="3"/>
    </row>
    <row r="28" ht="15.75" customHeight="1">
      <c r="A28" s="5" t="s">
        <v>30</v>
      </c>
      <c r="B28" s="16" t="str">
        <f>IF(Particulier_IR!B10&gt;0,"Report sur 5 ans à prévoir","OK")</f>
        <v>OK</v>
      </c>
      <c r="C28" s="8"/>
      <c r="D28" s="8"/>
      <c r="E28" s="8"/>
      <c r="F28" s="8"/>
      <c r="G28" s="8"/>
    </row>
    <row r="29" ht="15.75" customHeight="1">
      <c r="A29" s="5" t="s">
        <v>31</v>
      </c>
      <c r="B29" s="16" t="str">
        <f>IF(IFI!B14&gt;0,"Don au-delà du besoin IFI immédiat","OK")</f>
        <v>OK</v>
      </c>
      <c r="C29" s="8"/>
      <c r="D29" s="8"/>
      <c r="E29" s="8"/>
      <c r="F29" s="8"/>
      <c r="G29" s="8"/>
    </row>
    <row r="30" ht="15.75" customHeight="1">
      <c r="A30" s="5" t="s">
        <v>32</v>
      </c>
      <c r="B30" s="16" t="str">
        <f>IF(Entreprise_IS!B12&gt;0,"Excédent reportable sur 5 exercices","OK")</f>
        <v>OK</v>
      </c>
      <c r="C30" s="8"/>
      <c r="D30" s="8"/>
      <c r="E30" s="8"/>
      <c r="F30" s="8"/>
      <c r="G30" s="8"/>
    </row>
    <row r="31" ht="15.75" customHeight="1">
      <c r="A31" s="5" t="s">
        <v>33</v>
      </c>
      <c r="B31" s="16" t="str">
        <f>IF(Arbitrage_IR_IFI!B14&gt;0,"Budget &gt; plafonds utiles immédiats","OK")</f>
        <v>OK</v>
      </c>
      <c r="C31" s="8"/>
      <c r="D31" s="8"/>
      <c r="E31" s="8"/>
      <c r="F31" s="8"/>
      <c r="G31" s="8"/>
    </row>
    <row r="32" ht="15.75" customHeight="1">
      <c r="A32" s="5" t="s">
        <v>34</v>
      </c>
      <c r="B32" s="16" t="str">
        <f>IF(B12&gt;10000,"&gt; 10 k€ : vérifier la déclaration supplémentaire","RAS")</f>
        <v>RAS</v>
      </c>
      <c r="C32" s="8"/>
      <c r="D32" s="8"/>
      <c r="E32" s="8"/>
      <c r="F32" s="8"/>
      <c r="G32" s="8"/>
    </row>
    <row r="33" ht="15.75" customHeight="1">
      <c r="A33" s="8"/>
      <c r="B33" s="8"/>
      <c r="C33" s="8"/>
      <c r="D33" s="8"/>
      <c r="E33" s="8"/>
      <c r="F33" s="8"/>
      <c r="G33" s="8"/>
    </row>
    <row r="34" ht="15.75" customHeight="1">
      <c r="A34" s="17" t="s">
        <v>35</v>
      </c>
      <c r="B34" s="18" t="s">
        <v>36</v>
      </c>
      <c r="C34" s="8"/>
      <c r="D34" s="8"/>
      <c r="E34" s="8"/>
      <c r="F34" s="8"/>
      <c r="G34" s="8"/>
    </row>
    <row r="35" ht="15.75" customHeight="1">
      <c r="A35" s="8"/>
      <c r="B35" s="8"/>
      <c r="C35" s="8"/>
      <c r="D35" s="8"/>
      <c r="E35" s="8"/>
      <c r="F35" s="8"/>
      <c r="G35" s="8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A1:H1"/>
    <mergeCell ref="A9:C9"/>
    <mergeCell ref="E9:G9"/>
    <mergeCell ref="A19:C19"/>
    <mergeCell ref="E19:G19"/>
    <mergeCell ref="A27:G27"/>
    <mergeCell ref="A3:C3"/>
  </mergeCells>
  <dataValidations>
    <dataValidation type="decimal" operator="greaterThanOrEqual" allowBlank="1" sqref="B4:B7 B10:B12 B23:B26">
      <formula1>0.0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0"/>
    <col customWidth="1" min="2" max="2" width="16.0"/>
    <col customWidth="1" min="3" max="3" width="14.0"/>
    <col customWidth="1" min="4" max="4" width="48.0"/>
    <col customWidth="1" min="5" max="26" width="8.86"/>
  </cols>
  <sheetData>
    <row r="1">
      <c r="A1" s="1" t="s">
        <v>37</v>
      </c>
      <c r="B1" s="2"/>
      <c r="C1" s="2"/>
      <c r="D1" s="3"/>
    </row>
    <row r="3">
      <c r="A3" s="19" t="s">
        <v>38</v>
      </c>
      <c r="B3" s="19" t="s">
        <v>39</v>
      </c>
      <c r="C3" s="19" t="s">
        <v>40</v>
      </c>
      <c r="D3" s="19" t="s">
        <v>41</v>
      </c>
    </row>
    <row r="4">
      <c r="A4" s="20" t="s">
        <v>42</v>
      </c>
      <c r="B4" s="21">
        <v>0.66</v>
      </c>
      <c r="C4" s="22" t="s">
        <v>43</v>
      </c>
      <c r="D4" s="22" t="s">
        <v>44</v>
      </c>
    </row>
    <row r="5">
      <c r="A5" s="20" t="s">
        <v>45</v>
      </c>
      <c r="B5" s="21">
        <v>0.2</v>
      </c>
      <c r="C5" s="22" t="s">
        <v>43</v>
      </c>
      <c r="D5" s="22" t="s">
        <v>46</v>
      </c>
    </row>
    <row r="6">
      <c r="A6" s="20" t="s">
        <v>47</v>
      </c>
      <c r="B6" s="21">
        <v>0.75</v>
      </c>
      <c r="C6" s="22" t="s">
        <v>43</v>
      </c>
      <c r="D6" s="22" t="s">
        <v>48</v>
      </c>
    </row>
    <row r="7">
      <c r="A7" s="20" t="s">
        <v>49</v>
      </c>
      <c r="B7" s="23">
        <v>50000.0</v>
      </c>
      <c r="C7" s="22" t="s">
        <v>50</v>
      </c>
      <c r="D7" s="22" t="s">
        <v>51</v>
      </c>
    </row>
    <row r="8">
      <c r="A8" s="20" t="s">
        <v>52</v>
      </c>
      <c r="B8" s="21">
        <v>0.6</v>
      </c>
      <c r="C8" s="22" t="s">
        <v>43</v>
      </c>
      <c r="D8" s="22" t="s">
        <v>53</v>
      </c>
    </row>
    <row r="9">
      <c r="A9" s="20" t="s">
        <v>54</v>
      </c>
      <c r="B9" s="21">
        <v>0.4</v>
      </c>
      <c r="C9" s="22" t="s">
        <v>43</v>
      </c>
      <c r="D9" s="22" t="s">
        <v>55</v>
      </c>
    </row>
    <row r="10">
      <c r="A10" s="20" t="s">
        <v>56</v>
      </c>
      <c r="B10" s="23">
        <v>2000000.0</v>
      </c>
      <c r="C10" s="22" t="s">
        <v>50</v>
      </c>
      <c r="D10" s="22" t="s">
        <v>57</v>
      </c>
    </row>
    <row r="11">
      <c r="A11" s="20" t="s">
        <v>58</v>
      </c>
      <c r="B11" s="23">
        <v>20000.0</v>
      </c>
      <c r="C11" s="22" t="s">
        <v>50</v>
      </c>
      <c r="D11" s="22" t="s">
        <v>59</v>
      </c>
    </row>
    <row r="12">
      <c r="A12" s="20" t="s">
        <v>60</v>
      </c>
      <c r="B12" s="21">
        <v>0.005</v>
      </c>
      <c r="C12" s="22" t="s">
        <v>43</v>
      </c>
      <c r="D12" s="22" t="s">
        <v>61</v>
      </c>
    </row>
    <row r="13">
      <c r="A13" s="20" t="s">
        <v>62</v>
      </c>
      <c r="B13" s="24">
        <v>2026.0</v>
      </c>
      <c r="C13" s="22" t="s">
        <v>63</v>
      </c>
      <c r="D13" s="22" t="s">
        <v>64</v>
      </c>
    </row>
    <row r="15">
      <c r="A15" s="25" t="s">
        <v>65</v>
      </c>
      <c r="B15" s="22" t="s">
        <v>66</v>
      </c>
      <c r="D15" s="25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0"/>
    <col customWidth="1" min="2" max="2" width="18.0"/>
    <col customWidth="1" min="3" max="3" width="3.0"/>
    <col customWidth="1" min="4" max="4" width="16.0"/>
    <col customWidth="1" min="5" max="6" width="14.0"/>
    <col customWidth="1" min="7" max="26" width="8.86"/>
  </cols>
  <sheetData>
    <row r="1">
      <c r="A1" s="1" t="s">
        <v>68</v>
      </c>
      <c r="B1" s="2"/>
      <c r="C1" s="2"/>
      <c r="D1" s="2"/>
      <c r="E1" s="3"/>
    </row>
    <row r="3">
      <c r="A3" s="26" t="s">
        <v>69</v>
      </c>
      <c r="B3" s="3"/>
      <c r="D3" s="26" t="s">
        <v>70</v>
      </c>
      <c r="E3" s="2"/>
      <c r="F3" s="3"/>
    </row>
    <row r="4">
      <c r="A4" s="20" t="s">
        <v>71</v>
      </c>
      <c r="B4" s="27">
        <f>Pilotage!B4</f>
        <v>45000</v>
      </c>
      <c r="D4" s="19" t="s">
        <v>72</v>
      </c>
      <c r="E4" s="19" t="s">
        <v>73</v>
      </c>
      <c r="F4" s="19" t="s">
        <v>74</v>
      </c>
    </row>
    <row r="5">
      <c r="A5" s="20" t="s">
        <v>75</v>
      </c>
      <c r="B5" s="27">
        <f>Pilotage!B10</f>
        <v>1350</v>
      </c>
      <c r="D5" s="28">
        <v>0.0</v>
      </c>
      <c r="E5" s="29">
        <f>MIN($B$8*D5,$B$8)*Parametres!B4</f>
        <v>0</v>
      </c>
      <c r="F5" s="29">
        <f t="shared" ref="F5:F9" si="1">$B$8*D5-E5</f>
        <v>0</v>
      </c>
    </row>
    <row r="6">
      <c r="D6" s="28">
        <v>0.25</v>
      </c>
      <c r="E6" s="29">
        <f>MIN($B$8*D6,$B$8)*Parametres!B4</f>
        <v>1485</v>
      </c>
      <c r="F6" s="29">
        <f t="shared" si="1"/>
        <v>765</v>
      </c>
    </row>
    <row r="7">
      <c r="A7" s="26" t="s">
        <v>76</v>
      </c>
      <c r="B7" s="3"/>
      <c r="D7" s="28">
        <v>0.5</v>
      </c>
      <c r="E7" s="29">
        <f>MIN($B$8*D7,$B$8)*Parametres!B4</f>
        <v>2970</v>
      </c>
      <c r="F7" s="29">
        <f t="shared" si="1"/>
        <v>1530</v>
      </c>
    </row>
    <row r="8">
      <c r="A8" s="20" t="s">
        <v>77</v>
      </c>
      <c r="B8" s="29">
        <f>B4*Parametres!B5</f>
        <v>9000</v>
      </c>
      <c r="D8" s="28">
        <v>1.0</v>
      </c>
      <c r="E8" s="29">
        <f>MIN($B$8*D8,$B$8)*Parametres!B4</f>
        <v>5940</v>
      </c>
      <c r="F8" s="29">
        <f t="shared" si="1"/>
        <v>3060</v>
      </c>
    </row>
    <row r="9">
      <c r="A9" s="20" t="s">
        <v>78</v>
      </c>
      <c r="B9" s="29">
        <f>MIN(B5,B8)</f>
        <v>1350</v>
      </c>
      <c r="D9" s="28">
        <v>1.25</v>
      </c>
      <c r="E9" s="29">
        <f>MIN($B$8*D9,$B$8)*Parametres!B4</f>
        <v>5940</v>
      </c>
      <c r="F9" s="29">
        <f t="shared" si="1"/>
        <v>5310</v>
      </c>
    </row>
    <row r="10">
      <c r="A10" s="20" t="s">
        <v>79</v>
      </c>
      <c r="B10" s="29">
        <f>MAX(0,B5-B8)</f>
        <v>0</v>
      </c>
      <c r="D10" s="30" t="s">
        <v>80</v>
      </c>
    </row>
    <row r="11">
      <c r="A11" s="20" t="s">
        <v>9</v>
      </c>
      <c r="B11" s="29">
        <f>B9*Parametres!B4</f>
        <v>891</v>
      </c>
    </row>
    <row r="12">
      <c r="A12" s="20" t="s">
        <v>81</v>
      </c>
      <c r="B12" s="29">
        <f>B5-B11</f>
        <v>459</v>
      </c>
    </row>
    <row r="13">
      <c r="A13" s="20" t="s">
        <v>20</v>
      </c>
      <c r="B13" s="29">
        <f>B8</f>
        <v>9000</v>
      </c>
    </row>
    <row r="14">
      <c r="A14" s="20" t="s">
        <v>22</v>
      </c>
      <c r="B14" s="29">
        <f>MAX(0,B13-B5)</f>
        <v>7650</v>
      </c>
    </row>
    <row r="15">
      <c r="A15" s="20" t="s">
        <v>82</v>
      </c>
      <c r="B15" s="28">
        <f>IF(B5=0,0,B11/B5)</f>
        <v>0.66</v>
      </c>
    </row>
    <row r="17">
      <c r="A17" s="20" t="s">
        <v>83</v>
      </c>
      <c r="B17" s="31" t="str">
        <f>IF(B10&gt;0,"Une partie du don est reportée sur 5 ans","OK : pas de report")</f>
        <v>OK : pas de report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1"/>
    <mergeCell ref="A3:B3"/>
    <mergeCell ref="D3:F3"/>
    <mergeCell ref="A7:B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0"/>
    <col customWidth="1" min="2" max="2" width="18.0"/>
    <col customWidth="1" min="3" max="3" width="3.0"/>
    <col customWidth="1" min="4" max="4" width="38.0"/>
    <col customWidth="1" min="5" max="5" width="18.0"/>
    <col customWidth="1" min="6" max="26" width="8.86"/>
  </cols>
  <sheetData>
    <row r="1">
      <c r="A1" s="1" t="s">
        <v>84</v>
      </c>
      <c r="B1" s="2"/>
      <c r="C1" s="2"/>
      <c r="D1" s="2"/>
      <c r="E1" s="3"/>
    </row>
    <row r="3">
      <c r="A3" s="26" t="s">
        <v>69</v>
      </c>
      <c r="B3" s="3"/>
      <c r="D3" s="26" t="s">
        <v>85</v>
      </c>
      <c r="E3" s="3"/>
    </row>
    <row r="4">
      <c r="A4" s="20" t="s">
        <v>3</v>
      </c>
      <c r="B4" s="27">
        <f>Pilotage!B5</f>
        <v>35000</v>
      </c>
      <c r="D4" s="20" t="s">
        <v>86</v>
      </c>
      <c r="E4" s="32">
        <f>Parametres!B7/Parametres!B6</f>
        <v>66666.66667</v>
      </c>
    </row>
    <row r="5">
      <c r="A5" s="20" t="s">
        <v>87</v>
      </c>
      <c r="B5" s="27">
        <f>Pilotage!B11</f>
        <v>7650</v>
      </c>
      <c r="D5" s="25" t="s">
        <v>88</v>
      </c>
      <c r="E5" s="33" t="s">
        <v>89</v>
      </c>
    </row>
    <row r="7">
      <c r="A7" s="26" t="s">
        <v>76</v>
      </c>
      <c r="B7" s="3"/>
    </row>
    <row r="8">
      <c r="A8" s="20" t="s">
        <v>90</v>
      </c>
      <c r="B8" s="29">
        <f>B5*Parametres!B6</f>
        <v>5737.5</v>
      </c>
    </row>
    <row r="9">
      <c r="A9" s="20" t="s">
        <v>91</v>
      </c>
      <c r="B9" s="29">
        <f>Parametres!B7</f>
        <v>50000</v>
      </c>
    </row>
    <row r="10">
      <c r="A10" s="20" t="s">
        <v>92</v>
      </c>
      <c r="B10" s="29">
        <f>MIN(B8,B9,B4)</f>
        <v>5737.5</v>
      </c>
    </row>
    <row r="11">
      <c r="A11" s="20" t="s">
        <v>93</v>
      </c>
      <c r="B11" s="29">
        <f>MAX(0,B4-B10)</f>
        <v>29262.5</v>
      </c>
    </row>
    <row r="12">
      <c r="A12" s="20" t="s">
        <v>81</v>
      </c>
      <c r="B12" s="29">
        <f>B5-B10</f>
        <v>1912.5</v>
      </c>
    </row>
    <row r="13">
      <c r="A13" s="20" t="s">
        <v>94</v>
      </c>
      <c r="B13" s="29">
        <f>MIN(IF(B4=0,0,B4/Parametres!B6),Parametres!B7/Parametres!B6)</f>
        <v>46666.66667</v>
      </c>
    </row>
    <row r="14">
      <c r="A14" s="20" t="s">
        <v>95</v>
      </c>
      <c r="B14" s="29">
        <f>MAX(0,B5-B13)</f>
        <v>0</v>
      </c>
    </row>
    <row r="16">
      <c r="A16" s="20" t="s">
        <v>83</v>
      </c>
      <c r="B16" s="31" t="str">
        <f>IF(B14&gt;0,"Le don dépasse le besoin IFI immédiat","OK : don calibré")</f>
        <v>OK : don calibré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1"/>
    <mergeCell ref="A3:B3"/>
    <mergeCell ref="D3:E3"/>
    <mergeCell ref="A7:B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0"/>
    <col customWidth="1" min="2" max="2" width="18.0"/>
    <col customWidth="1" min="3" max="3" width="3.0"/>
    <col customWidth="1" min="4" max="4" width="20.0"/>
    <col customWidth="1" min="5" max="6" width="14.0"/>
    <col customWidth="1" min="7" max="7" width="6.0"/>
    <col customWidth="1" min="8" max="26" width="8.86"/>
  </cols>
  <sheetData>
    <row r="1">
      <c r="A1" s="1" t="s">
        <v>96</v>
      </c>
      <c r="B1" s="2"/>
      <c r="C1" s="2"/>
      <c r="D1" s="2"/>
      <c r="E1" s="2"/>
      <c r="F1" s="2"/>
      <c r="G1" s="3"/>
    </row>
    <row r="3">
      <c r="A3" s="26" t="s">
        <v>69</v>
      </c>
      <c r="B3" s="3"/>
      <c r="D3" s="26" t="s">
        <v>97</v>
      </c>
      <c r="E3" s="2"/>
      <c r="F3" s="3"/>
    </row>
    <row r="4">
      <c r="A4" s="20" t="s">
        <v>98</v>
      </c>
      <c r="B4" s="27">
        <f>Pilotage!B7</f>
        <v>9000</v>
      </c>
      <c r="D4" s="19" t="s">
        <v>99</v>
      </c>
      <c r="E4" s="19" t="s">
        <v>73</v>
      </c>
      <c r="F4" s="19" t="s">
        <v>74</v>
      </c>
    </row>
    <row r="5">
      <c r="A5" s="20" t="s">
        <v>71</v>
      </c>
      <c r="B5" s="27">
        <f>Pilotage!B4</f>
        <v>45000</v>
      </c>
      <c r="D5" s="20" t="s">
        <v>100</v>
      </c>
      <c r="E5" s="29">
        <f>MIN(B4,B10)*Parametres!B4</f>
        <v>5940</v>
      </c>
      <c r="F5" s="29">
        <f>B4-E5</f>
        <v>3060</v>
      </c>
    </row>
    <row r="6">
      <c r="A6" s="20" t="s">
        <v>3</v>
      </c>
      <c r="B6" s="27">
        <f>Pilotage!B5</f>
        <v>35000</v>
      </c>
      <c r="D6" s="20" t="s">
        <v>101</v>
      </c>
      <c r="E6" s="29">
        <f>MIN(B4*Parametres!B6,Parametres!B7,B6)</f>
        <v>6750</v>
      </c>
      <c r="F6" s="29">
        <f>B4-E6</f>
        <v>2250</v>
      </c>
    </row>
    <row r="7">
      <c r="D7" s="20" t="s">
        <v>102</v>
      </c>
      <c r="E7" s="29">
        <f>B17</f>
        <v>6750</v>
      </c>
      <c r="F7" s="29">
        <f>B18</f>
        <v>2250</v>
      </c>
    </row>
    <row r="8">
      <c r="A8" s="26" t="s">
        <v>103</v>
      </c>
      <c r="B8" s="3"/>
    </row>
    <row r="9">
      <c r="A9" s="20" t="s">
        <v>104</v>
      </c>
      <c r="B9" s="29">
        <f>IFI!B13</f>
        <v>46666.66667</v>
      </c>
    </row>
    <row r="10">
      <c r="A10" s="20" t="s">
        <v>105</v>
      </c>
      <c r="B10" s="29">
        <f>Particulier_IR!B8</f>
        <v>9000</v>
      </c>
    </row>
    <row r="11">
      <c r="A11" s="20" t="s">
        <v>106</v>
      </c>
      <c r="B11" s="29">
        <f>MIN(B4,B9)</f>
        <v>9000</v>
      </c>
    </row>
    <row r="12">
      <c r="A12" s="20" t="s">
        <v>107</v>
      </c>
      <c r="B12" s="29">
        <f>MAX(0,B4-B11)</f>
        <v>0</v>
      </c>
    </row>
    <row r="13">
      <c r="A13" s="20" t="s">
        <v>108</v>
      </c>
      <c r="B13" s="29">
        <f>MIN(B12,B10)</f>
        <v>0</v>
      </c>
    </row>
    <row r="14">
      <c r="A14" s="20" t="s">
        <v>109</v>
      </c>
      <c r="B14" s="29">
        <f>MAX(0,B4-B11-B13)</f>
        <v>0</v>
      </c>
    </row>
    <row r="15">
      <c r="A15" s="20" t="s">
        <v>110</v>
      </c>
      <c r="B15" s="29">
        <f>MIN(B11*Parametres!B6,Parametres!B7,B6)</f>
        <v>6750</v>
      </c>
    </row>
    <row r="16">
      <c r="A16" s="20" t="s">
        <v>111</v>
      </c>
      <c r="B16" s="29">
        <f>MIN(B13,B10)*Parametres!B4</f>
        <v>0</v>
      </c>
    </row>
    <row r="17">
      <c r="A17" s="20" t="s">
        <v>14</v>
      </c>
      <c r="B17" s="29">
        <f>B15+B16</f>
        <v>6750</v>
      </c>
    </row>
    <row r="18">
      <c r="A18" s="20" t="s">
        <v>27</v>
      </c>
      <c r="B18" s="29">
        <f>B4-B17</f>
        <v>2250</v>
      </c>
    </row>
    <row r="20">
      <c r="A20" s="20" t="s">
        <v>83</v>
      </c>
      <c r="B20" s="31" t="str">
        <f>IF(B14&gt;0,"Budget supérieur aux plafonds utiles immédiats","OK : allocation optimisée")</f>
        <v>OK : allocation optimisée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3:B3"/>
    <mergeCell ref="D3:F3"/>
    <mergeCell ref="A8:B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0"/>
    <col customWidth="1" min="2" max="2" width="18.0"/>
    <col customWidth="1" min="3" max="3" width="3.0"/>
    <col customWidth="1" min="4" max="4" width="26.0"/>
    <col customWidth="1" min="5" max="5" width="24.0"/>
    <col customWidth="1" min="6" max="6" width="6.0"/>
    <col customWidth="1" min="7" max="26" width="8.86"/>
  </cols>
  <sheetData>
    <row r="1">
      <c r="A1" s="1" t="s">
        <v>112</v>
      </c>
      <c r="B1" s="2"/>
      <c r="C1" s="2"/>
      <c r="D1" s="2"/>
      <c r="E1" s="2"/>
      <c r="F1" s="3"/>
    </row>
    <row r="3">
      <c r="A3" s="26" t="s">
        <v>69</v>
      </c>
      <c r="B3" s="3"/>
      <c r="D3" s="26" t="s">
        <v>113</v>
      </c>
      <c r="E3" s="2"/>
      <c r="F3" s="3"/>
    </row>
    <row r="4">
      <c r="A4" s="20" t="s">
        <v>114</v>
      </c>
      <c r="B4" s="27" t="str">
        <f>Pilotage!B6</f>
        <v/>
      </c>
      <c r="D4" s="20" t="s">
        <v>115</v>
      </c>
      <c r="E4" s="32">
        <f>Parametres!B10</f>
        <v>2000000</v>
      </c>
    </row>
    <row r="5">
      <c r="A5" s="20" t="s">
        <v>12</v>
      </c>
      <c r="B5" s="27" t="str">
        <f>Pilotage!B12</f>
        <v/>
      </c>
      <c r="D5" s="20" t="s">
        <v>88</v>
      </c>
      <c r="E5" s="33" t="s">
        <v>116</v>
      </c>
    </row>
    <row r="7">
      <c r="A7" s="26" t="s">
        <v>76</v>
      </c>
      <c r="B7" s="3"/>
    </row>
    <row r="8">
      <c r="A8" s="20" t="s">
        <v>117</v>
      </c>
      <c r="B8" s="29">
        <f>B4*Parametres!B12</f>
        <v>0</v>
      </c>
    </row>
    <row r="9">
      <c r="A9" s="20" t="s">
        <v>118</v>
      </c>
      <c r="B9" s="29">
        <f>Parametres!B11</f>
        <v>20000</v>
      </c>
    </row>
    <row r="10">
      <c r="A10" s="20" t="s">
        <v>119</v>
      </c>
      <c r="B10" s="29">
        <f>MAX(B8,B9)</f>
        <v>20000</v>
      </c>
    </row>
    <row r="11">
      <c r="A11" s="20" t="s">
        <v>120</v>
      </c>
      <c r="B11" s="29">
        <f>MIN(B5,B10)</f>
        <v>20000</v>
      </c>
    </row>
    <row r="12">
      <c r="A12" s="20" t="s">
        <v>121</v>
      </c>
      <c r="B12" s="29">
        <f>MAX(0,B5-B10)</f>
        <v>0</v>
      </c>
    </row>
    <row r="13">
      <c r="A13" s="20" t="s">
        <v>122</v>
      </c>
      <c r="B13" s="29">
        <f>MIN(B11,Parametres!B10)</f>
        <v>20000</v>
      </c>
    </row>
    <row r="14">
      <c r="A14" s="20" t="s">
        <v>123</v>
      </c>
      <c r="B14" s="29">
        <f>MAX(0,B11-Parametres!B10)</f>
        <v>0</v>
      </c>
    </row>
    <row r="15">
      <c r="A15" s="20" t="s">
        <v>124</v>
      </c>
      <c r="B15" s="29">
        <f>B13*Parametres!B8+B14*Parametres!B9</f>
        <v>12000</v>
      </c>
    </row>
    <row r="16">
      <c r="A16" s="20" t="s">
        <v>81</v>
      </c>
      <c r="B16" s="29">
        <f>B5-B15</f>
        <v>-12000</v>
      </c>
    </row>
    <row r="17">
      <c r="A17" s="20" t="s">
        <v>82</v>
      </c>
      <c r="B17" s="28">
        <f>IF(B5=0,0,B15/B5)</f>
        <v>0</v>
      </c>
    </row>
    <row r="18">
      <c r="A18" s="20" t="s">
        <v>20</v>
      </c>
      <c r="B18" s="29">
        <f>B10</f>
        <v>20000</v>
      </c>
    </row>
    <row r="19">
      <c r="A19" s="20" t="s">
        <v>22</v>
      </c>
      <c r="B19" s="29">
        <f>MAX(0,B18-B5)</f>
        <v>20000</v>
      </c>
    </row>
    <row r="21" ht="15.75" customHeight="1">
      <c r="A21" s="20" t="s">
        <v>125</v>
      </c>
      <c r="B21" s="31" t="str">
        <f>IF(B12&gt;0,"Excédent reportable sur 5 exercices","OK : pas de report")</f>
        <v>OK : pas de report</v>
      </c>
    </row>
    <row r="22" ht="15.75" customHeight="1">
      <c r="A22" s="20" t="s">
        <v>126</v>
      </c>
      <c r="B22" s="31" t="str">
        <f>IF(B5&gt;10000,"&gt; 10 k€ : vérifier la déclaration supplémentaire","RAS")</f>
        <v>RAS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3:B3"/>
    <mergeCell ref="D3:F3"/>
    <mergeCell ref="A7:B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22.29"/>
    <col customWidth="1" min="2" max="2" width="22.0"/>
    <col customWidth="1" min="3" max="3" width="18.0"/>
    <col customWidth="1" min="4" max="4" width="19.29"/>
    <col customWidth="1" min="5" max="5" width="14.0"/>
    <col customWidth="1" min="6" max="6" width="18.0"/>
    <col customWidth="1" min="7" max="7" width="16.0"/>
    <col customWidth="1" min="8" max="8" width="24.0"/>
    <col customWidth="1" min="9" max="26" width="8.86"/>
  </cols>
  <sheetData>
    <row r="1">
      <c r="A1" s="1" t="s">
        <v>127</v>
      </c>
      <c r="B1" s="2"/>
      <c r="C1" s="2"/>
      <c r="D1" s="2"/>
      <c r="E1" s="2"/>
      <c r="F1" s="2"/>
      <c r="G1" s="2"/>
      <c r="H1" s="3"/>
    </row>
    <row r="2">
      <c r="A2" s="18" t="s">
        <v>128</v>
      </c>
      <c r="B2" s="8"/>
      <c r="C2" s="8"/>
      <c r="D2" s="8"/>
      <c r="E2" s="8"/>
      <c r="F2" s="8"/>
      <c r="G2" s="8"/>
      <c r="H2" s="8"/>
      <c r="I2" s="8"/>
      <c r="J2" s="8"/>
    </row>
    <row r="3">
      <c r="A3" s="8"/>
      <c r="B3" s="8"/>
      <c r="C3" s="8"/>
      <c r="D3" s="8"/>
      <c r="E3" s="8"/>
      <c r="F3" s="8"/>
      <c r="G3" s="8"/>
      <c r="H3" s="8"/>
      <c r="I3" s="8"/>
      <c r="J3" s="8"/>
    </row>
    <row r="4">
      <c r="A4" s="9" t="s">
        <v>129</v>
      </c>
      <c r="B4" s="2"/>
      <c r="C4" s="2"/>
      <c r="D4" s="2"/>
      <c r="E4" s="2"/>
      <c r="F4" s="2"/>
      <c r="G4" s="2"/>
      <c r="H4" s="3"/>
      <c r="I4" s="8"/>
      <c r="J4" s="8"/>
    </row>
    <row r="5">
      <c r="A5" s="34" t="s">
        <v>130</v>
      </c>
      <c r="B5" s="34" t="s">
        <v>131</v>
      </c>
      <c r="C5" s="34" t="s">
        <v>132</v>
      </c>
      <c r="D5" s="34" t="s">
        <v>133</v>
      </c>
      <c r="E5" s="34" t="s">
        <v>134</v>
      </c>
      <c r="F5" s="34" t="s">
        <v>135</v>
      </c>
      <c r="G5" s="34" t="s">
        <v>9</v>
      </c>
      <c r="H5" s="34" t="s">
        <v>136</v>
      </c>
      <c r="I5" s="8"/>
      <c r="J5" s="8"/>
    </row>
    <row r="6">
      <c r="A6" s="5">
        <v>2027.0</v>
      </c>
      <c r="B6" s="7">
        <f>Pilotage!B4</f>
        <v>45000</v>
      </c>
      <c r="C6" s="35">
        <f>B6*Parametres!B5</f>
        <v>9000</v>
      </c>
      <c r="D6" s="35">
        <f>Particulier_IR!B10</f>
        <v>0</v>
      </c>
      <c r="E6" s="35">
        <f t="shared" ref="E6:E10" si="1">MIN(C6,D6)</f>
        <v>0</v>
      </c>
      <c r="F6" s="35">
        <f t="shared" ref="F6:F10" si="2">MAX(0,D6-E6)</f>
        <v>0</v>
      </c>
      <c r="G6" s="35">
        <f>E6*Parametres!B4</f>
        <v>0</v>
      </c>
      <c r="H6" s="16" t="str">
        <f t="shared" ref="H6:H10" si="3">IF(AND(A6=2031,F6&gt;0),"Solde perdu en fin de période","")</f>
        <v/>
      </c>
      <c r="I6" s="8"/>
      <c r="J6" s="8"/>
    </row>
    <row r="7">
      <c r="A7" s="5">
        <v>2028.0</v>
      </c>
      <c r="B7" s="7">
        <f t="shared" ref="B7:B10" si="4">B6</f>
        <v>45000</v>
      </c>
      <c r="C7" s="35">
        <f>B7*Parametres!B5</f>
        <v>9000</v>
      </c>
      <c r="D7" s="35">
        <f t="shared" ref="D7:D10" si="5">F6</f>
        <v>0</v>
      </c>
      <c r="E7" s="35">
        <f t="shared" si="1"/>
        <v>0</v>
      </c>
      <c r="F7" s="35">
        <f t="shared" si="2"/>
        <v>0</v>
      </c>
      <c r="G7" s="35">
        <f>E7*Parametres!B4</f>
        <v>0</v>
      </c>
      <c r="H7" s="16" t="str">
        <f t="shared" si="3"/>
        <v/>
      </c>
      <c r="I7" s="8"/>
      <c r="J7" s="8"/>
    </row>
    <row r="8">
      <c r="A8" s="5">
        <v>2029.0</v>
      </c>
      <c r="B8" s="7">
        <f t="shared" si="4"/>
        <v>45000</v>
      </c>
      <c r="C8" s="35">
        <f>B8*Parametres!B5</f>
        <v>9000</v>
      </c>
      <c r="D8" s="35">
        <f t="shared" si="5"/>
        <v>0</v>
      </c>
      <c r="E8" s="35">
        <f t="shared" si="1"/>
        <v>0</v>
      </c>
      <c r="F8" s="35">
        <f t="shared" si="2"/>
        <v>0</v>
      </c>
      <c r="G8" s="35">
        <f>E8*Parametres!B4</f>
        <v>0</v>
      </c>
      <c r="H8" s="16" t="str">
        <f t="shared" si="3"/>
        <v/>
      </c>
      <c r="I8" s="8"/>
      <c r="J8" s="8"/>
    </row>
    <row r="9">
      <c r="A9" s="5">
        <v>2030.0</v>
      </c>
      <c r="B9" s="7">
        <f t="shared" si="4"/>
        <v>45000</v>
      </c>
      <c r="C9" s="35">
        <f>B9*Parametres!B5</f>
        <v>9000</v>
      </c>
      <c r="D9" s="35">
        <f t="shared" si="5"/>
        <v>0</v>
      </c>
      <c r="E9" s="35">
        <f t="shared" si="1"/>
        <v>0</v>
      </c>
      <c r="F9" s="35">
        <f t="shared" si="2"/>
        <v>0</v>
      </c>
      <c r="G9" s="35">
        <f>E9*Parametres!B4</f>
        <v>0</v>
      </c>
      <c r="H9" s="16" t="str">
        <f t="shared" si="3"/>
        <v/>
      </c>
      <c r="I9" s="8"/>
      <c r="J9" s="8"/>
    </row>
    <row r="10">
      <c r="A10" s="5">
        <v>2031.0</v>
      </c>
      <c r="B10" s="7">
        <f t="shared" si="4"/>
        <v>45000</v>
      </c>
      <c r="C10" s="35">
        <f>B10*Parametres!B5</f>
        <v>9000</v>
      </c>
      <c r="D10" s="35">
        <f t="shared" si="5"/>
        <v>0</v>
      </c>
      <c r="E10" s="35">
        <f t="shared" si="1"/>
        <v>0</v>
      </c>
      <c r="F10" s="35">
        <f t="shared" si="2"/>
        <v>0</v>
      </c>
      <c r="G10" s="35">
        <f>E10*Parametres!B4</f>
        <v>0</v>
      </c>
      <c r="H10" s="16" t="str">
        <f t="shared" si="3"/>
        <v/>
      </c>
      <c r="I10" s="8"/>
      <c r="J10" s="8"/>
    </row>
    <row r="1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>
      <c r="A12" s="5" t="s">
        <v>137</v>
      </c>
      <c r="B12" s="11">
        <f>F10</f>
        <v>0</v>
      </c>
      <c r="C12" s="8"/>
      <c r="D12" s="8"/>
      <c r="E12" s="8"/>
      <c r="F12" s="8"/>
      <c r="G12" s="8"/>
      <c r="H12" s="8"/>
      <c r="I12" s="8"/>
      <c r="J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</row>
    <row r="15">
      <c r="A15" s="9" t="s">
        <v>138</v>
      </c>
      <c r="B15" s="2"/>
      <c r="C15" s="2"/>
      <c r="D15" s="2"/>
      <c r="E15" s="2"/>
      <c r="F15" s="2"/>
      <c r="G15" s="2"/>
      <c r="H15" s="3"/>
      <c r="I15" s="8"/>
      <c r="J15" s="8"/>
    </row>
    <row r="16">
      <c r="A16" s="34" t="s">
        <v>130</v>
      </c>
      <c r="B16" s="34" t="s">
        <v>139</v>
      </c>
      <c r="C16" s="34" t="s">
        <v>140</v>
      </c>
      <c r="D16" s="34" t="s">
        <v>133</v>
      </c>
      <c r="E16" s="34" t="s">
        <v>134</v>
      </c>
      <c r="F16" s="34" t="s">
        <v>135</v>
      </c>
      <c r="G16" s="34" t="s">
        <v>13</v>
      </c>
      <c r="H16" s="34" t="s">
        <v>136</v>
      </c>
      <c r="I16" s="8"/>
      <c r="J16" s="8"/>
    </row>
    <row r="17">
      <c r="A17" s="5">
        <v>2027.0</v>
      </c>
      <c r="B17" s="7" t="str">
        <f>Pilotage!B6</f>
        <v/>
      </c>
      <c r="C17" s="35">
        <f>MAX(B17*Parametres!B12,Parametres!B11)</f>
        <v>20000</v>
      </c>
      <c r="D17" s="35">
        <f>Entreprise_IS!B12</f>
        <v>0</v>
      </c>
      <c r="E17" s="35">
        <f t="shared" ref="E17:E21" si="6">MIN(C17,D17)</f>
        <v>0</v>
      </c>
      <c r="F17" s="35">
        <f t="shared" ref="F17:F21" si="7">MAX(0,D17-E17)</f>
        <v>0</v>
      </c>
      <c r="G17" s="35">
        <f>MIN(E17,Parametres!B10)*Parametres!B8+MAX(0,E17-Parametres!B10)*Parametres!B9</f>
        <v>0</v>
      </c>
      <c r="H17" s="16" t="str">
        <f t="shared" ref="H17:H21" si="8">IF(AND(A17=2031,F17&gt;0),"Solde perdu en fin de période","")</f>
        <v/>
      </c>
      <c r="I17" s="8"/>
      <c r="J17" s="8"/>
    </row>
    <row r="18">
      <c r="A18" s="5">
        <v>2028.0</v>
      </c>
      <c r="B18" s="7" t="str">
        <f>Pilotage!B6</f>
        <v/>
      </c>
      <c r="C18" s="35">
        <f>MAX(B18*Parametres!B12,Parametres!B11)</f>
        <v>20000</v>
      </c>
      <c r="D18" s="35">
        <f t="shared" ref="D18:D21" si="9">F17</f>
        <v>0</v>
      </c>
      <c r="E18" s="35">
        <f t="shared" si="6"/>
        <v>0</v>
      </c>
      <c r="F18" s="35">
        <f t="shared" si="7"/>
        <v>0</v>
      </c>
      <c r="G18" s="35">
        <f>MIN(E18,Parametres!B10)*Parametres!B8+MAX(0,E18-Parametres!B10)*Parametres!B9</f>
        <v>0</v>
      </c>
      <c r="H18" s="16" t="str">
        <f t="shared" si="8"/>
        <v/>
      </c>
      <c r="I18" s="8"/>
      <c r="J18" s="8"/>
    </row>
    <row r="19">
      <c r="A19" s="5">
        <v>2029.0</v>
      </c>
      <c r="B19" s="7" t="str">
        <f>Pilotage!B6</f>
        <v/>
      </c>
      <c r="C19" s="35">
        <f>MAX(B19*Parametres!B12,Parametres!B11)</f>
        <v>20000</v>
      </c>
      <c r="D19" s="35">
        <f t="shared" si="9"/>
        <v>0</v>
      </c>
      <c r="E19" s="35">
        <f t="shared" si="6"/>
        <v>0</v>
      </c>
      <c r="F19" s="35">
        <f t="shared" si="7"/>
        <v>0</v>
      </c>
      <c r="G19" s="35">
        <f>MIN(E19,Parametres!B10)*Parametres!B8+MAX(0,E19-Parametres!B10)*Parametres!B9</f>
        <v>0</v>
      </c>
      <c r="H19" s="16" t="str">
        <f t="shared" si="8"/>
        <v/>
      </c>
      <c r="I19" s="8"/>
      <c r="J19" s="8"/>
    </row>
    <row r="20">
      <c r="A20" s="5">
        <v>2030.0</v>
      </c>
      <c r="B20" s="7" t="str">
        <f>Pilotage!B6</f>
        <v/>
      </c>
      <c r="C20" s="35">
        <f>MAX(B20*Parametres!B12,Parametres!B11)</f>
        <v>20000</v>
      </c>
      <c r="D20" s="35">
        <f t="shared" si="9"/>
        <v>0</v>
      </c>
      <c r="E20" s="35">
        <f t="shared" si="6"/>
        <v>0</v>
      </c>
      <c r="F20" s="35">
        <f t="shared" si="7"/>
        <v>0</v>
      </c>
      <c r="G20" s="35">
        <f>MIN(E20,Parametres!B10)*Parametres!B8+MAX(0,E20-Parametres!B10)*Parametres!B9</f>
        <v>0</v>
      </c>
      <c r="H20" s="16" t="str">
        <f t="shared" si="8"/>
        <v/>
      </c>
      <c r="I20" s="8"/>
      <c r="J20" s="8"/>
    </row>
    <row r="21" ht="15.75" customHeight="1">
      <c r="A21" s="5">
        <v>2031.0</v>
      </c>
      <c r="B21" s="7" t="str">
        <f>Pilotage!B6</f>
        <v/>
      </c>
      <c r="C21" s="35">
        <f>MAX(B21*Parametres!B12,Parametres!B11)</f>
        <v>20000</v>
      </c>
      <c r="D21" s="35">
        <f t="shared" si="9"/>
        <v>0</v>
      </c>
      <c r="E21" s="35">
        <f t="shared" si="6"/>
        <v>0</v>
      </c>
      <c r="F21" s="35">
        <f t="shared" si="7"/>
        <v>0</v>
      </c>
      <c r="G21" s="35">
        <f>MIN(E21,Parametres!B10)*Parametres!B8+MAX(0,E21-Parametres!B10)*Parametres!B9</f>
        <v>0</v>
      </c>
      <c r="H21" s="16" t="str">
        <f t="shared" si="8"/>
        <v/>
      </c>
      <c r="I21" s="8"/>
      <c r="J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15.75" customHeight="1">
      <c r="A23" s="5" t="s">
        <v>137</v>
      </c>
      <c r="B23" s="11">
        <f>F21</f>
        <v>0</v>
      </c>
      <c r="C23" s="8"/>
      <c r="D23" s="8"/>
      <c r="E23" s="8"/>
      <c r="F23" s="8"/>
      <c r="G23" s="8"/>
      <c r="H23" s="8"/>
      <c r="I23" s="8"/>
      <c r="J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4:H4"/>
    <mergeCell ref="A15:H15"/>
  </mergeCells>
  <dataValidations>
    <dataValidation type="decimal" operator="greaterThanOrEqual" allowBlank="1" sqref="B5:B10 B17:B21">
      <formula1>0.0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0.0"/>
    <col customWidth="1" min="2" max="26" width="8.86"/>
  </cols>
  <sheetData>
    <row r="1">
      <c r="A1" s="1" t="s">
        <v>141</v>
      </c>
      <c r="B1" s="2"/>
      <c r="C1" s="2"/>
      <c r="D1" s="2"/>
      <c r="E1" s="2"/>
      <c r="F1" s="3"/>
    </row>
    <row r="3">
      <c r="A3" s="36" t="s">
        <v>142</v>
      </c>
    </row>
    <row r="4">
      <c r="A4" s="36" t="s">
        <v>143</v>
      </c>
    </row>
    <row r="5">
      <c r="A5" s="36" t="s">
        <v>144</v>
      </c>
    </row>
    <row r="6">
      <c r="A6" s="36" t="s">
        <v>145</v>
      </c>
    </row>
    <row r="7">
      <c r="A7" s="36" t="s">
        <v>146</v>
      </c>
    </row>
    <row r="8">
      <c r="A8" s="36" t="s">
        <v>147</v>
      </c>
    </row>
    <row r="9">
      <c r="A9" s="37"/>
    </row>
    <row r="10">
      <c r="A10" s="36" t="s">
        <v>148</v>
      </c>
    </row>
    <row r="11">
      <c r="A11" s="36" t="s">
        <v>149</v>
      </c>
    </row>
    <row r="12">
      <c r="A12" s="36" t="s">
        <v>150</v>
      </c>
    </row>
    <row r="13">
      <c r="A13" s="36" t="s">
        <v>151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2026-04-16T08:57:51Z</dcterms:created>
</cp:coreProperties>
</file>